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E62" i="1" l="1"/>
  <c r="D62" i="1"/>
  <c r="C62" i="1"/>
  <c r="B62" i="1"/>
  <c r="D61" i="1"/>
  <c r="C61" i="1"/>
  <c r="D60" i="1"/>
  <c r="C60" i="1"/>
  <c r="D59" i="1"/>
  <c r="C59" i="1"/>
  <c r="D58" i="1"/>
  <c r="C58" i="1"/>
  <c r="D57" i="1"/>
  <c r="C57" i="1"/>
  <c r="D56" i="1"/>
  <c r="C56" i="1"/>
  <c r="D55" i="1"/>
  <c r="C55" i="1"/>
  <c r="D54" i="1"/>
  <c r="C54" i="1"/>
  <c r="D53" i="1"/>
  <c r="C53" i="1"/>
  <c r="D52" i="1"/>
  <c r="C52" i="1"/>
  <c r="D51" i="1"/>
  <c r="C51" i="1"/>
  <c r="D50" i="1"/>
  <c r="C50" i="1"/>
  <c r="D49" i="1"/>
  <c r="C49" i="1"/>
  <c r="D48" i="1"/>
  <c r="C48" i="1"/>
  <c r="D47" i="1"/>
  <c r="C47" i="1"/>
  <c r="D46" i="1"/>
  <c r="C46" i="1"/>
  <c r="D45" i="1"/>
  <c r="C45" i="1"/>
  <c r="D44" i="1"/>
  <c r="C44" i="1"/>
  <c r="D43" i="1"/>
  <c r="C43" i="1"/>
  <c r="D42" i="1"/>
  <c r="C42" i="1"/>
  <c r="D41" i="1"/>
  <c r="C41" i="1"/>
  <c r="D40" i="1"/>
  <c r="C40" i="1"/>
  <c r="D39" i="1"/>
  <c r="C39" i="1"/>
  <c r="D38" i="1"/>
  <c r="C38" i="1"/>
  <c r="D37" i="1"/>
  <c r="C37" i="1"/>
  <c r="D36" i="1"/>
  <c r="C36" i="1"/>
  <c r="D35" i="1"/>
  <c r="C35" i="1"/>
  <c r="D34" i="1"/>
  <c r="C34" i="1"/>
  <c r="D33" i="1"/>
  <c r="C33" i="1"/>
  <c r="D32" i="1"/>
  <c r="C32" i="1"/>
  <c r="D31" i="1"/>
  <c r="C31" i="1"/>
  <c r="D30" i="1"/>
  <c r="C30" i="1"/>
  <c r="D29" i="1"/>
  <c r="C29" i="1"/>
  <c r="D28" i="1"/>
  <c r="C28" i="1"/>
  <c r="D27" i="1"/>
  <c r="C27" i="1"/>
  <c r="D26" i="1"/>
  <c r="C26" i="1"/>
  <c r="D25" i="1"/>
  <c r="C25" i="1"/>
  <c r="D24" i="1"/>
  <c r="C24" i="1"/>
  <c r="D23" i="1"/>
  <c r="C23" i="1"/>
  <c r="D22" i="1"/>
  <c r="C22" i="1"/>
  <c r="D21" i="1"/>
  <c r="C21" i="1"/>
  <c r="D20" i="1"/>
  <c r="C20" i="1"/>
  <c r="D19" i="1"/>
  <c r="C19" i="1"/>
  <c r="D18" i="1"/>
  <c r="C18" i="1"/>
  <c r="D17" i="1"/>
  <c r="C17" i="1"/>
  <c r="D16" i="1"/>
  <c r="C16" i="1"/>
  <c r="D15" i="1"/>
  <c r="C15" i="1"/>
  <c r="D14" i="1"/>
  <c r="C14" i="1"/>
  <c r="D13" i="1"/>
  <c r="C13" i="1"/>
  <c r="D12" i="1"/>
  <c r="C12" i="1"/>
  <c r="D11" i="1"/>
  <c r="C11" i="1"/>
  <c r="D10" i="1"/>
  <c r="C10" i="1"/>
  <c r="D9" i="1"/>
  <c r="C9" i="1"/>
  <c r="D8" i="1"/>
  <c r="C8" i="1"/>
  <c r="D7" i="1"/>
  <c r="C7" i="1"/>
  <c r="D6" i="1"/>
  <c r="C6" i="1"/>
  <c r="D5" i="1"/>
  <c r="C5" i="1"/>
  <c r="D4" i="1"/>
  <c r="C4" i="1"/>
  <c r="D3" i="1"/>
  <c r="C3" i="1"/>
</calcChain>
</file>

<file path=xl/sharedStrings.xml><?xml version="1.0" encoding="utf-8"?>
<sst xmlns="http://schemas.openxmlformats.org/spreadsheetml/2006/main" count="69" uniqueCount="69">
  <si>
    <t>Nombre Grupo Economico</t>
  </si>
  <si>
    <t>Contribución   I.R. 2014</t>
  </si>
  <si>
    <t>Variación Ingresos</t>
  </si>
  <si>
    <t>BANCO PICHINCHA (DINERS CLUB, BANCO RUMIÑAHUI, BANCO DE LOJA, INTERDIN, CREDI FE)</t>
  </si>
  <si>
    <t>OCP ECUADOR (ANDES PETROLEUM, CONSORCIO B-16, OVERSEAS PETROLEUM AND INVESTMENT CORPORATION, REPSOL , SINOPEC SERVICE)</t>
  </si>
  <si>
    <t>CORPORACIÓN FAVORITA (SUPERMAXI, MEGAMAXI, JUGUETÓN, AKÍ, SUPERSALDOS, KYWI, SUKASA, TVENTAS)</t>
  </si>
  <si>
    <t>ALMACENES JUAN ELJURI (NEOHYUNDAI, AYMESA, AEKIA, QUITO MOTORS, METROCAR)</t>
  </si>
  <si>
    <t>BANCO DE GUAYAQUIL (CORPORACIÓN MULTIBG, PROMOQUIL)</t>
  </si>
  <si>
    <t>CORPORACIÓN EL ROSADO (MI COMISARIATO, MI JUGUETERÍA, FERRISARIATO, CHILIS, SUPERCINES, RADIO DISNEY)</t>
  </si>
  <si>
    <t>DINADEC (CERVECERÍA NACIONAL)</t>
  </si>
  <si>
    <t>INDUSTRIA PRONACA (INAEXPO, MARDEX, PRODUASTRO, INCA)</t>
  </si>
  <si>
    <t>HERDOIZA CRESPO CONSTRUCCIONES (PANAVIAL, CONSTRUCTORA HERDOIZA GUERRERO, CONSORCIO HERDOIZA CRESPO)</t>
  </si>
  <si>
    <t>EXPORTADORA BANANERA NOBOA (ELCAFÉ, TRUISFRUIT, INDUSTRIAL MOLINERA, BANACON, INDUSTRIA CARTONERA ECUATORIANA, INDUSTRIAL MOLINERA)</t>
  </si>
  <si>
    <t>ARCA ECUADOR (EMPRORO, CONGASEOSAS, INDEGA, EMPROSUR, EMPROCEN)</t>
  </si>
  <si>
    <t>REYBANPAC (FERTISA, AEROVIC, CARTONERA ANDINA)</t>
  </si>
  <si>
    <t>FARMACIAS FYBECA (SANASANA, FARVICTORIA, PROVEFARMA, INMOFYBE)</t>
  </si>
  <si>
    <t>GRUPO FUTURO (SEGUROS EQUINOCCIAL, TECNISEGUROS, SALUDSA, EQUIVIDA, METROPOLITAN TOURING)</t>
  </si>
  <si>
    <t>SOCIEDAD AGRÍCOLA E INDUSTRIAL SAN CARLOS (PAPELERA NACIONAL, INVERSANCARLOS, SODERAL, INTERCIA, PREDIMASA)</t>
  </si>
  <si>
    <t>IMPORTADORA TOMEBAMBA (ECUANECOPA, VAZCORP, VAZ SEGUROS, MAXXIS DEL ECUADOR)</t>
  </si>
  <si>
    <t>CONSORCIO NOBIS (COMPAÑÍA AZUCARERA VALDEZ, MOBILSOL, UNIVERSAL SWEET INDUSTRIES, GULKANA, ECOELECTRIC)</t>
  </si>
  <si>
    <t>INDUSTRIAS ALES (NOVOPAN, ÁLVAREZ BARBA, HOLDINGPESA, ALESPALMA)</t>
  </si>
  <si>
    <t>INDUSTRIA ADELCA (KUBIEC, CONDUIT, DURALLANTA, FRANCELANA)</t>
  </si>
  <si>
    <t>N.I.R.S.A. (FORTIDEX, REALVEG, CALADEMAR, COMPAÑÍA AGRÍCOLA GANADERA)</t>
  </si>
  <si>
    <t>BANCO DE MACHALA (EXPORTADORA MACHALA, ICCSA, INVERSIONES AGRÍCOLAS TARES, CONSTRULUZ, INCOAGRO)</t>
  </si>
  <si>
    <t>QUICENTRO SHOPPING (DELLAIR SERVICES, SAN LUIS SHOPPING, SAN MARINO SHOPPING, GRANADOS PLAZA, QUICENTRO SHOPPING SUR, DK MANAGEMENT)</t>
  </si>
  <si>
    <t>EXPALSA (GISIS, ECUACULTIVOS, EXPORMEKSA, PLUMONT, CONSAVE)</t>
  </si>
  <si>
    <t>MEGA SANTAMARÍA (EMPACADORA GRANOS DEL CAMPO, INMOBILIARIA Y REPRESENTACIONES LEO, JAVTRONIC)</t>
  </si>
  <si>
    <t>FADESA (LA LLAVE, ECUAVEGETAL, VECONSA, TROPICALIMENTOS, ECUAIMCO, LATIENVASES)</t>
  </si>
  <si>
    <t>MARATHON SPORTS (EQUINOX, MEDEPORT, ALLEGRO ECUADOR, INVESTA, FIBRAN, MILDEPORTES)</t>
  </si>
  <si>
    <t>INDUSTRIAL PESQUERA SANTA PRISCILA (PRODUMAR, TROPACK, MANESIL, BRESSON, TEXTOSA)</t>
  </si>
  <si>
    <t>KFC (GUS, AMERICAN DELI, TROPIBURGER, EL ESPAÑOL, BASKIN ROBBINS, CINNABON, CAFÉ VALDEZ)</t>
  </si>
  <si>
    <t>SURPAPEL (IN CAR PALM, PRODUCTORA CARTONERA, AMERIWORK, INNOVATIVE MANAGEMENT S.A. IN.VA.MA.)</t>
  </si>
  <si>
    <t>DANEC (PALMERAS DEL ECUADOR, PALMERAS DE LOS ANDES, MURRIN CORPORATION)</t>
  </si>
  <si>
    <t>UBESA (AGRISA, PROLISA, SIEMBRANUEVA, TRILEX, NAPORTEC, MEGABANANA)</t>
  </si>
  <si>
    <t>EUROFISH (PESQUERA ATUNES DEL PACÍFICO, TRANSMARINA, IBEROPESCA, TADEL, ELVAYKA, TUNAFLEET)</t>
  </si>
  <si>
    <t>AGRIPAC ( AEROAGRIPAC, MERCAQUÍMICOS, SKIPPER)</t>
  </si>
  <si>
    <t>EDIMCA (AGLOMERADOS COTOPAXI, ENDESA, BOTROSA, SETRAFOR)</t>
  </si>
  <si>
    <t>GRAIMAN (TUBERÍA GALVANIZADA ECUATORIANA, HIDROSA, INDUBUSINESS, HORMICRETO)</t>
  </si>
  <si>
    <t>GRUPO TVCABLE (SURATEL, SETEL)</t>
  </si>
  <si>
    <t>HOTEL COLÓN (INDUAUTO, LANAFIT, DOSMILCORP, INDUWAGEN, HOTEL BARCELÓ COLÓN MIRAMAR)</t>
  </si>
  <si>
    <t>LETERAGO DEL ECUADOR (ROEMMERS, LABORATORIOS ECUAROWE)</t>
  </si>
  <si>
    <t>PICA PLÁSTICOS INDUSTRIALES (PYCCA, HOTEL ORO VERDE, UNICENTRO TURÍSTICO JABUCAM, PRECONSA, OV HOTELERA MACHALA)</t>
  </si>
  <si>
    <t>UNIVERSIDAD SAN FRANCISCO (CONCEM, DIGITAL PHOTO EXPRESS, CMSFQ)</t>
  </si>
  <si>
    <t>CORPORACIÓN CIPAL (FUMIPALMA, ICAPAR, AGRO COMERCIO PALACIOS MARQUEZ PALMAR, PALMAPLAST)</t>
  </si>
  <si>
    <t>MODERNA ALIMENTOS (MOLINOS CHAMPION, AGRÍCOLA SAN ANDRÉS DEL CHAUPI)</t>
  </si>
  <si>
    <t>AYASA (AUTOMOTORES Y ANEXOS, AUTOMOTORES DEL VALLE VALLEMOTORS,MYSTICFLOWERS, INMOBILIARIA DE LAS MAGNOLIAS)</t>
  </si>
  <si>
    <t>ECUACORRIENTE (EXPLORCOBRES, PUERTOCOBRE, PROYECTO HIDROELÉCTRICO SANTA CRUZ)</t>
  </si>
  <si>
    <t>OCEANBAT (VEPAMIL, OCEANBAT, EXPODELTA, BIOFACTOR, ABATANGELO)</t>
  </si>
  <si>
    <t>CORPORACIÓN SUPERIOR (GRUPO SUPERIOR, ALSUPERIOR, INSELSEA, ENSUPERIOR, ROSAMONT, SUPERLIQUORS, SERVIDINSA)</t>
  </si>
  <si>
    <t>FARMAENLACE (FARMACIAS ECONÓMICAS, FARMACIAS MEDICITY, MEDISALUD, ZONA TRADE, ORCEVAL)</t>
  </si>
  <si>
    <t>ENVASES DEL LITORAL (PLASTLIT,PLASTROL, INVERSIONES GERMANIA, PLASCONTI, IMPREDI)</t>
  </si>
  <si>
    <t>PETROBELL (CONSORCIO SANTA ELENA, PACIFPETROL, GRANTMINING, SANTA ELENA ECUADOR, ANDIPETROLEOS)</t>
  </si>
  <si>
    <t>ESTUDIO JURÍDICO ORTEGA MOREIRA &amp; ORTEGA TRUJILLO  (ANGLO AUTOMOTRIZ, BOLÍVAR COMPAÑÍA DE SEGUROS, CAMPOECUADOR)</t>
  </si>
  <si>
    <t>OBSA ORO BANANA (AUSURSA, CABANA, LA MARAVILLA, PICKUEL, APACSA, INGAORO)</t>
  </si>
  <si>
    <t>CARTIMEX (FUROIANI OBRAS Y PROYECTOS, SANTCITY, ROYALBAY, OTRIVIN)</t>
  </si>
  <si>
    <t>ECUAVISA (MEDIRED, UNIVISA, GRUPO EDITORIAL VISTAZO, TEVE-UNO)</t>
  </si>
  <si>
    <t>ICESA (VPCCONSUMOS,  EKOGAR, AGENCIA DE VIAJES MAGNIFICTOURIS)</t>
  </si>
  <si>
    <t>MOTRANSA  (MOSUMI, ASPANAM, VÍA EXPRESS)</t>
  </si>
  <si>
    <t>CENTROS COMERCIALES DEL ECUADOR (CONDADO SHOPPING, CENTRO COMERCIAL IÑAQUITO, HOTEL DANN CARTON, PISOFIN)</t>
  </si>
  <si>
    <t>CONFITECA (CONFITECORP, CONFITEXPORT)</t>
  </si>
  <si>
    <t>ELIPE (GOLDEN VALLEY PLANTA, OPERACIONES GREENTRADE, MINSUPPORT, TECHNODYNAMICS)</t>
  </si>
  <si>
    <t>EMPRESAS PINTO (MERCURSA, DITEX, COMERCIALIZADORA CAPILUZ)</t>
  </si>
  <si>
    <t>Total Ingresos 2014 (millones U.S.)</t>
  </si>
  <si>
    <t>Impuesto a la Renta 2014 (millones U.S.)</t>
  </si>
  <si>
    <t>Sociedades del grupo en Paraísos Fiscales</t>
  </si>
  <si>
    <t>TOTAL</t>
  </si>
  <si>
    <t>Variación Impuesto a la Renta</t>
  </si>
  <si>
    <t>Variación Contribución  Impuesto Renta</t>
  </si>
  <si>
    <t>Variación 2014 - 2013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</si>
</sst>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8"/>
      <color theme="1"/>
      <name val="Tahoma"/>
      <family val="2"/>
    </font>
    <font>
      <sz val="10"/>
      <name val="Arial"/>
      <family val="2"/>
    </font>
    <font>
      <b/>
      <sz val="8"/>
      <name val="Tahoma"/>
      <family val="2"/>
    </font>
    <font>
      <sz val="9"/>
      <color theme="1"/>
      <name val="Tahoma"/>
      <family val="2"/>
    </font>
    <font>
      <sz val="9"/>
      <name val="Tahoma"/>
      <family val="2"/>
    </font>
    <font>
      <b/>
      <sz val="8"/>
      <color rgb="FFFF0000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2" borderId="0" applyNumberFormat="0" applyBorder="0" applyAlignment="0" applyProtection="0"/>
    <xf numFmtId="0" fontId="1" fillId="0" borderId="0"/>
    <xf numFmtId="0" fontId="5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8">
    <xf numFmtId="0" fontId="0" fillId="0" borderId="0" xfId="0"/>
    <xf numFmtId="0" fontId="6" fillId="5" borderId="1" xfId="6" applyNumberFormat="1" applyFont="1" applyFill="1" applyBorder="1" applyAlignment="1" applyProtection="1">
      <alignment horizontal="center" vertical="center" wrapText="1"/>
    </xf>
    <xf numFmtId="0" fontId="7" fillId="0" borderId="1" xfId="4" applyFont="1" applyBorder="1" applyAlignment="1">
      <alignment vertical="center" wrapText="1"/>
    </xf>
    <xf numFmtId="0" fontId="7" fillId="0" borderId="1" xfId="4" applyFont="1" applyFill="1" applyBorder="1" applyAlignment="1">
      <alignment horizontal="center" vertical="center"/>
    </xf>
    <xf numFmtId="43" fontId="0" fillId="0" borderId="1" xfId="1" applyFont="1" applyBorder="1"/>
    <xf numFmtId="10" fontId="7" fillId="0" borderId="1" xfId="7" applyNumberFormat="1" applyFont="1" applyFill="1" applyBorder="1" applyAlignment="1">
      <alignment horizontal="center" vertical="center"/>
    </xf>
    <xf numFmtId="10" fontId="8" fillId="0" borderId="1" xfId="7" applyNumberFormat="1" applyFont="1" applyFill="1" applyBorder="1" applyAlignment="1">
      <alignment horizontal="center" vertical="center"/>
    </xf>
    <xf numFmtId="10" fontId="8" fillId="0" borderId="1" xfId="6" applyNumberFormat="1" applyFont="1" applyFill="1" applyBorder="1" applyAlignment="1">
      <alignment horizontal="center" vertical="center" wrapText="1"/>
    </xf>
    <xf numFmtId="0" fontId="7" fillId="0" borderId="1" xfId="4" applyFont="1" applyBorder="1" applyAlignment="1">
      <alignment horizontal="center" vertical="center"/>
    </xf>
    <xf numFmtId="0" fontId="6" fillId="5" borderId="1" xfId="6" applyNumberFormat="1" applyFont="1" applyFill="1" applyBorder="1" applyAlignment="1" applyProtection="1">
      <alignment horizontal="center" vertical="center" wrapText="1"/>
    </xf>
    <xf numFmtId="0" fontId="4" fillId="3" borderId="1" xfId="4" applyFont="1" applyFill="1" applyBorder="1" applyAlignment="1">
      <alignment horizontal="center" vertical="center" wrapText="1"/>
    </xf>
    <xf numFmtId="3" fontId="9" fillId="4" borderId="1" xfId="5" applyNumberFormat="1" applyFont="1" applyFill="1" applyBorder="1" applyAlignment="1" applyProtection="1">
      <alignment horizontal="center" vertical="center" textRotation="90" wrapText="1"/>
    </xf>
    <xf numFmtId="0" fontId="3" fillId="2" borderId="2" xfId="3" applyBorder="1" applyAlignment="1">
      <alignment horizontal="center"/>
    </xf>
    <xf numFmtId="0" fontId="3" fillId="2" borderId="3" xfId="3" applyBorder="1" applyAlignment="1">
      <alignment horizontal="center"/>
    </xf>
    <xf numFmtId="0" fontId="3" fillId="2" borderId="4" xfId="3" applyBorder="1" applyAlignment="1">
      <alignment horizontal="center"/>
    </xf>
    <xf numFmtId="0" fontId="3" fillId="2" borderId="1" xfId="3" applyBorder="1" applyAlignment="1">
      <alignment vertical="center" wrapText="1"/>
    </xf>
    <xf numFmtId="43" fontId="2" fillId="2" borderId="1" xfId="1" applyFont="1" applyFill="1" applyBorder="1"/>
    <xf numFmtId="10" fontId="2" fillId="2" borderId="1" xfId="2" applyNumberFormat="1" applyFont="1" applyFill="1" applyBorder="1"/>
  </cellXfs>
  <cellStyles count="8">
    <cellStyle name="Énfasis1" xfId="3" builtinId="29"/>
    <cellStyle name="Millares" xfId="1" builtinId="3"/>
    <cellStyle name="Millares 3 6 2" xfId="6"/>
    <cellStyle name="Normal" xfId="0" builtinId="0"/>
    <cellStyle name="Normal 7" xfId="4"/>
    <cellStyle name="Normal_Listado Intranet" xfId="5"/>
    <cellStyle name="Porcentaje" xfId="2" builtinId="5"/>
    <cellStyle name="Porcentual 4" xfId="7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2"/>
  <sheetViews>
    <sheetView tabSelected="1" workbookViewId="0">
      <selection activeCell="C1" sqref="C1:C2"/>
    </sheetView>
  </sheetViews>
  <sheetFormatPr baseColWidth="10" defaultRowHeight="15" x14ac:dyDescent="0.25"/>
  <cols>
    <col min="1" max="1" width="24.85546875" customWidth="1"/>
    <col min="3" max="3" width="17.28515625" bestFit="1" customWidth="1"/>
    <col min="4" max="4" width="16.140625" bestFit="1" customWidth="1"/>
  </cols>
  <sheetData>
    <row r="1" spans="1:8" x14ac:dyDescent="0.25">
      <c r="A1" s="10" t="s">
        <v>0</v>
      </c>
      <c r="B1" s="11" t="s">
        <v>64</v>
      </c>
      <c r="C1" s="9" t="s">
        <v>62</v>
      </c>
      <c r="D1" s="9" t="s">
        <v>63</v>
      </c>
      <c r="E1" s="9" t="s">
        <v>1</v>
      </c>
      <c r="F1" s="12" t="s">
        <v>68</v>
      </c>
      <c r="G1" s="13"/>
      <c r="H1" s="14"/>
    </row>
    <row r="2" spans="1:8" ht="72.75" customHeight="1" x14ac:dyDescent="0.25">
      <c r="A2" s="10"/>
      <c r="B2" s="11"/>
      <c r="C2" s="9"/>
      <c r="D2" s="9"/>
      <c r="E2" s="9"/>
      <c r="F2" s="1" t="s">
        <v>2</v>
      </c>
      <c r="G2" s="1" t="s">
        <v>66</v>
      </c>
      <c r="H2" s="1" t="s">
        <v>67</v>
      </c>
    </row>
    <row r="3" spans="1:8" ht="45" x14ac:dyDescent="0.25">
      <c r="A3" s="2" t="s">
        <v>3</v>
      </c>
      <c r="B3" s="3">
        <v>2</v>
      </c>
      <c r="C3" s="4">
        <f>1806527286.02/(1000000)</f>
        <v>1806.52728602</v>
      </c>
      <c r="D3" s="4">
        <f>42579599.09/(1000000)</f>
        <v>42.579599090000002</v>
      </c>
      <c r="E3" s="5">
        <v>2.3569862143520706E-2</v>
      </c>
      <c r="F3" s="6">
        <v>0.1080676088423379</v>
      </c>
      <c r="G3" s="6">
        <v>0.11447296202898057</v>
      </c>
      <c r="H3" s="7">
        <v>1.3546608731975599E-4</v>
      </c>
    </row>
    <row r="4" spans="1:8" ht="67.5" x14ac:dyDescent="0.25">
      <c r="A4" s="2" t="s">
        <v>4</v>
      </c>
      <c r="B4" s="3">
        <v>5</v>
      </c>
      <c r="C4" s="4">
        <f>2040543818.82/(1000000)</f>
        <v>2040.5438188199998</v>
      </c>
      <c r="D4" s="4">
        <f>103634598.45/(1000000)</f>
        <v>103.63459845</v>
      </c>
      <c r="E4" s="5">
        <v>5.0787734864684027E-2</v>
      </c>
      <c r="F4" s="6">
        <v>-0.14552085720709734</v>
      </c>
      <c r="G4" s="6">
        <v>-0.34093866208148116</v>
      </c>
      <c r="H4" s="7">
        <v>-1.5059034858794583E-2</v>
      </c>
    </row>
    <row r="5" spans="1:8" ht="56.25" x14ac:dyDescent="0.25">
      <c r="A5" s="2" t="s">
        <v>5</v>
      </c>
      <c r="B5" s="3">
        <v>9</v>
      </c>
      <c r="C5" s="4">
        <f>2545369099.59/(1000000)</f>
        <v>2545.3690995900001</v>
      </c>
      <c r="D5" s="4">
        <f>62028804.66/(1000000)</f>
        <v>62.028804659999999</v>
      </c>
      <c r="E5" s="5">
        <v>2.4369277001905696E-2</v>
      </c>
      <c r="F5" s="6">
        <v>6.6387380795831105E-2</v>
      </c>
      <c r="G5" s="6">
        <v>0.1077422082952382</v>
      </c>
      <c r="H5" s="7">
        <v>9.0976694681519504E-4</v>
      </c>
    </row>
    <row r="6" spans="1:8" ht="45" x14ac:dyDescent="0.25">
      <c r="A6" s="2" t="s">
        <v>6</v>
      </c>
      <c r="B6" s="3">
        <v>12</v>
      </c>
      <c r="C6" s="4">
        <f>2128938086.19/(1000000)</f>
        <v>2128.9380861900004</v>
      </c>
      <c r="D6" s="4">
        <f>41733823.96/(1000000)</f>
        <v>41.733823959999995</v>
      </c>
      <c r="E6" s="5">
        <v>1.96031177377675E-2</v>
      </c>
      <c r="F6" s="6">
        <v>4.9057849168160146E-2</v>
      </c>
      <c r="G6" s="6">
        <v>4.2471433797335277E-2</v>
      </c>
      <c r="H6" s="7">
        <v>-1.2385401824758363E-4</v>
      </c>
    </row>
    <row r="7" spans="1:8" ht="33.75" x14ac:dyDescent="0.25">
      <c r="A7" s="2" t="s">
        <v>7</v>
      </c>
      <c r="B7" s="3">
        <v>2</v>
      </c>
      <c r="C7" s="4">
        <f>451676990.95/(1000000)</f>
        <v>451.67699095</v>
      </c>
      <c r="D7" s="4">
        <f>20341669.35/(1000000)</f>
        <v>20.34166935</v>
      </c>
      <c r="E7" s="5">
        <v>4.5035876871248014E-2</v>
      </c>
      <c r="F7" s="6">
        <v>0.14159057965166041</v>
      </c>
      <c r="G7" s="6">
        <v>0.53637053877300789</v>
      </c>
      <c r="H7" s="7">
        <v>1.1572248478823599E-2</v>
      </c>
    </row>
    <row r="8" spans="1:8" ht="56.25" x14ac:dyDescent="0.25">
      <c r="A8" s="2" t="s">
        <v>8</v>
      </c>
      <c r="B8" s="3">
        <v>1</v>
      </c>
      <c r="C8" s="4">
        <f>1196444955.18/(1000000)</f>
        <v>1196.4449551800003</v>
      </c>
      <c r="D8" s="4">
        <f>13102299.58/(1000000)</f>
        <v>13.102299580000004</v>
      </c>
      <c r="E8" s="5">
        <v>1.0951025806305328E-2</v>
      </c>
      <c r="F8" s="6">
        <v>6.0667888053931709E-2</v>
      </c>
      <c r="G8" s="6">
        <v>-7.7555985646365457E-3</v>
      </c>
      <c r="H8" s="7">
        <v>-7.551641174627869E-4</v>
      </c>
    </row>
    <row r="9" spans="1:8" ht="22.5" x14ac:dyDescent="0.25">
      <c r="A9" s="2" t="s">
        <v>9</v>
      </c>
      <c r="B9" s="3">
        <v>1</v>
      </c>
      <c r="C9" s="4">
        <f>1275616456.01/(1000000)</f>
        <v>1275.6164560100001</v>
      </c>
      <c r="D9" s="4">
        <f>53933766.62/(1000000)</f>
        <v>53.933766620000007</v>
      </c>
      <c r="E9" s="5">
        <v>4.2280550996260588E-2</v>
      </c>
      <c r="F9" s="6">
        <v>7.0416254348629914E-2</v>
      </c>
      <c r="G9" s="6">
        <v>0.27943692247419166</v>
      </c>
      <c r="H9" s="7">
        <v>6.9073424900581923E-3</v>
      </c>
    </row>
    <row r="10" spans="1:8" ht="33.75" x14ac:dyDescent="0.25">
      <c r="A10" s="2" t="s">
        <v>10</v>
      </c>
      <c r="B10" s="3">
        <v>2</v>
      </c>
      <c r="C10" s="4">
        <f>1037240948.36/(1000000)</f>
        <v>1037.2409483600002</v>
      </c>
      <c r="D10" s="4">
        <f>18865766.8/(1000000)</f>
        <v>18.865766799999999</v>
      </c>
      <c r="E10" s="5">
        <v>1.8188413048895721E-2</v>
      </c>
      <c r="F10" s="6">
        <v>8.2741839603396289E-2</v>
      </c>
      <c r="G10" s="6">
        <v>0.10153872095107712</v>
      </c>
      <c r="H10" s="7">
        <v>3.1037078904272777E-4</v>
      </c>
    </row>
    <row r="11" spans="1:8" ht="67.5" x14ac:dyDescent="0.25">
      <c r="A11" s="2" t="s">
        <v>11</v>
      </c>
      <c r="B11" s="3">
        <v>1</v>
      </c>
      <c r="C11" s="4">
        <f>719476617.39/(1000000)</f>
        <v>719.47661738999989</v>
      </c>
      <c r="D11" s="4">
        <f>18067799.04/(1000000)</f>
        <v>18.067799040000001</v>
      </c>
      <c r="E11" s="5">
        <v>2.5112420061048569E-2</v>
      </c>
      <c r="F11" s="6">
        <v>1.0005854725914505E-2</v>
      </c>
      <c r="G11" s="6">
        <v>-0.10609364665631182</v>
      </c>
      <c r="H11" s="7">
        <v>-3.2615714573266882E-3</v>
      </c>
    </row>
    <row r="12" spans="1:8" ht="78.75" x14ac:dyDescent="0.25">
      <c r="A12" s="2" t="s">
        <v>12</v>
      </c>
      <c r="B12" s="3">
        <v>5</v>
      </c>
      <c r="C12" s="4">
        <f>731231379.48/(1000000)</f>
        <v>731.23137947999987</v>
      </c>
      <c r="D12" s="4">
        <f>9478762.27999999/(1000000)</f>
        <v>9.4787622799999944</v>
      </c>
      <c r="E12" s="5">
        <v>1.2962740038236078E-2</v>
      </c>
      <c r="F12" s="6">
        <v>-0.11509533813333193</v>
      </c>
      <c r="G12" s="6">
        <v>-3.2866969593784719E-2</v>
      </c>
      <c r="H12" s="7">
        <v>1.1021285920704404E-3</v>
      </c>
    </row>
    <row r="13" spans="1:8" ht="33.75" x14ac:dyDescent="0.25">
      <c r="A13" s="2" t="s">
        <v>13</v>
      </c>
      <c r="B13" s="3">
        <v>1</v>
      </c>
      <c r="C13" s="4">
        <f>873905606.46/(1000000)</f>
        <v>873.90560645999994</v>
      </c>
      <c r="D13" s="4">
        <f>13499043.86/(1000000)</f>
        <v>13.499043859999999</v>
      </c>
      <c r="E13" s="5">
        <v>1.5446798556061068E-2</v>
      </c>
      <c r="F13" s="6">
        <v>0.22950982907709544</v>
      </c>
      <c r="G13" s="6">
        <v>-0.1321329472956988</v>
      </c>
      <c r="H13" s="7">
        <v>-6.4367267987399061E-3</v>
      </c>
    </row>
    <row r="14" spans="1:8" ht="33.75" x14ac:dyDescent="0.25">
      <c r="A14" s="2" t="s">
        <v>14</v>
      </c>
      <c r="B14" s="3">
        <v>6</v>
      </c>
      <c r="C14" s="4">
        <f>433877820.36/(1000000)</f>
        <v>433.87782035999999</v>
      </c>
      <c r="D14" s="4">
        <f>5378272.4/(1000000)</f>
        <v>5.3782723999999993</v>
      </c>
      <c r="E14" s="5">
        <v>1.2395822389670675E-2</v>
      </c>
      <c r="F14" s="6">
        <v>2.7650183951057835E-2</v>
      </c>
      <c r="G14" s="6">
        <v>-0.12390600676942674</v>
      </c>
      <c r="H14" s="7">
        <v>-2.1443630897395611E-3</v>
      </c>
    </row>
    <row r="15" spans="1:8" ht="33.75" x14ac:dyDescent="0.25">
      <c r="A15" s="2" t="s">
        <v>15</v>
      </c>
      <c r="B15" s="3">
        <v>1</v>
      </c>
      <c r="C15" s="4">
        <f>713696808.6/(1000000)</f>
        <v>713.69680859999983</v>
      </c>
      <c r="D15" s="4">
        <f>7026035.12/(1000000)</f>
        <v>7.0260351200000004</v>
      </c>
      <c r="E15" s="5">
        <v>9.8445656969972928E-3</v>
      </c>
      <c r="F15" s="6">
        <v>7.8886626998226239E-2</v>
      </c>
      <c r="G15" s="6">
        <v>7.1337162637541404E-2</v>
      </c>
      <c r="H15" s="7">
        <v>-6.9372369845669551E-5</v>
      </c>
    </row>
    <row r="16" spans="1:8" ht="56.25" x14ac:dyDescent="0.25">
      <c r="A16" s="2" t="s">
        <v>16</v>
      </c>
      <c r="B16" s="3">
        <v>2</v>
      </c>
      <c r="C16" s="4">
        <f>563221998.79/(1000000)</f>
        <v>563.22199879000004</v>
      </c>
      <c r="D16" s="4">
        <f>7900317.25/(1000000)</f>
        <v>7.9003172499999987</v>
      </c>
      <c r="E16" s="5">
        <v>1.4027004035660312E-2</v>
      </c>
      <c r="F16" s="6">
        <v>0.10522071416706145</v>
      </c>
      <c r="G16" s="6">
        <v>0.19627721155624223</v>
      </c>
      <c r="H16" s="7">
        <v>1.0676871915745612E-3</v>
      </c>
    </row>
    <row r="17" spans="1:8" ht="56.25" x14ac:dyDescent="0.25">
      <c r="A17" s="2" t="s">
        <v>17</v>
      </c>
      <c r="B17" s="3">
        <v>3</v>
      </c>
      <c r="C17" s="4">
        <f>399105164.65/(1000000)</f>
        <v>399.10516465000006</v>
      </c>
      <c r="D17" s="4">
        <f>7843015.87/(1000000)</f>
        <v>7.8430158700000003</v>
      </c>
      <c r="E17" s="5">
        <v>1.9651501821275667E-2</v>
      </c>
      <c r="F17" s="6">
        <v>3.6148289741059984E-2</v>
      </c>
      <c r="G17" s="6">
        <v>-0.20027612350877505</v>
      </c>
      <c r="H17" s="7">
        <v>-5.8096237015678766E-3</v>
      </c>
    </row>
    <row r="18" spans="1:8" ht="45" x14ac:dyDescent="0.25">
      <c r="A18" s="2" t="s">
        <v>18</v>
      </c>
      <c r="B18" s="3">
        <v>2</v>
      </c>
      <c r="C18" s="4">
        <f>563277377.35/(1000000)</f>
        <v>563.27737734999994</v>
      </c>
      <c r="D18" s="4">
        <f>7101102.42/(1000000)</f>
        <v>7.1011024199999966</v>
      </c>
      <c r="E18" s="5">
        <v>1.2606759485722487E-2</v>
      </c>
      <c r="F18" s="6">
        <v>0.10223206233219274</v>
      </c>
      <c r="G18" s="6">
        <v>0.12006626090873278</v>
      </c>
      <c r="H18" s="7">
        <v>2.0073049240197996E-4</v>
      </c>
    </row>
    <row r="19" spans="1:8" ht="67.5" x14ac:dyDescent="0.25">
      <c r="A19" s="2" t="s">
        <v>19</v>
      </c>
      <c r="B19" s="3">
        <v>11</v>
      </c>
      <c r="C19" s="4">
        <f>308365073.39/(1000000)</f>
        <v>308.36507339000002</v>
      </c>
      <c r="D19" s="4">
        <f>6804657.93/(1000000)</f>
        <v>6.8046579300000003</v>
      </c>
      <c r="E19" s="5">
        <v>2.2066889272488757E-2</v>
      </c>
      <c r="F19" s="6">
        <v>0.12480386021005152</v>
      </c>
      <c r="G19" s="6">
        <v>7.0608598990679394E-2</v>
      </c>
      <c r="H19" s="7">
        <v>-1.1170476582655423E-3</v>
      </c>
    </row>
    <row r="20" spans="1:8" ht="45" x14ac:dyDescent="0.25">
      <c r="A20" s="2" t="s">
        <v>20</v>
      </c>
      <c r="B20" s="3">
        <v>8</v>
      </c>
      <c r="C20" s="4">
        <f>493647516.86/(1000000)</f>
        <v>493.64751686000005</v>
      </c>
      <c r="D20" s="4">
        <f>10864001.77/(1000000)</f>
        <v>10.864001770000005</v>
      </c>
      <c r="E20" s="5">
        <v>2.2007609476299806E-2</v>
      </c>
      <c r="F20" s="6">
        <v>1.9391137036327531E-2</v>
      </c>
      <c r="G20" s="6">
        <v>3.5582594022106256E-2</v>
      </c>
      <c r="H20" s="7">
        <v>3.4409159081300739E-4</v>
      </c>
    </row>
    <row r="21" spans="1:8" ht="33.75" x14ac:dyDescent="0.25">
      <c r="A21" s="2" t="s">
        <v>21</v>
      </c>
      <c r="B21" s="3">
        <v>3</v>
      </c>
      <c r="C21" s="4">
        <f>479695559.26/(1000000)</f>
        <v>479.69555925999992</v>
      </c>
      <c r="D21" s="4">
        <f>11680317.17/(1000000)</f>
        <v>11.680317170000004</v>
      </c>
      <c r="E21" s="5">
        <v>2.4349437772612673E-2</v>
      </c>
      <c r="F21" s="6">
        <v>-1.3826530356899938E-2</v>
      </c>
      <c r="G21" s="6">
        <v>0.10790596810860521</v>
      </c>
      <c r="H21" s="7">
        <v>2.6754237106879804E-3</v>
      </c>
    </row>
    <row r="22" spans="1:8" ht="45" x14ac:dyDescent="0.25">
      <c r="A22" s="2" t="s">
        <v>22</v>
      </c>
      <c r="B22" s="3">
        <v>4</v>
      </c>
      <c r="C22" s="4">
        <f>489798602.39/(1000000)</f>
        <v>489.79860238999999</v>
      </c>
      <c r="D22" s="4">
        <f>8666298.83/(1000000)</f>
        <v>8.6662988300000006</v>
      </c>
      <c r="E22" s="5">
        <v>1.7693596485805197E-2</v>
      </c>
      <c r="F22" s="6">
        <v>-9.0424246416564172E-2</v>
      </c>
      <c r="G22" s="6">
        <v>0.6568468286281639</v>
      </c>
      <c r="H22" s="7">
        <v>7.9801660834892939E-3</v>
      </c>
    </row>
    <row r="23" spans="1:8" ht="56.25" x14ac:dyDescent="0.25">
      <c r="A23" s="2" t="s">
        <v>23</v>
      </c>
      <c r="B23" s="3">
        <v>2</v>
      </c>
      <c r="C23" s="4">
        <f>220208541.88/(1000000)</f>
        <v>220.20854187999998</v>
      </c>
      <c r="D23" s="4">
        <f>3404163.35/(1000000)</f>
        <v>3.4041633500000006</v>
      </c>
      <c r="E23" s="5">
        <v>1.5458816088319855E-2</v>
      </c>
      <c r="F23" s="6">
        <v>0.13471516583979229</v>
      </c>
      <c r="G23" s="6">
        <v>8.6487538193359845E-2</v>
      </c>
      <c r="H23" s="7">
        <v>-6.861947329850418E-4</v>
      </c>
    </row>
    <row r="24" spans="1:8" ht="78.75" x14ac:dyDescent="0.25">
      <c r="A24" s="2" t="s">
        <v>24</v>
      </c>
      <c r="B24" s="3">
        <v>8</v>
      </c>
      <c r="C24" s="4">
        <f>308968303.58/(1000000)</f>
        <v>308.96830358</v>
      </c>
      <c r="D24" s="4">
        <f>15337159.49/(1000000)</f>
        <v>15.337159489999998</v>
      </c>
      <c r="E24" s="5">
        <v>4.9639912289672156E-2</v>
      </c>
      <c r="F24" s="6">
        <v>1.9572147632684458E-2</v>
      </c>
      <c r="G24" s="6">
        <v>0.19654794786807861</v>
      </c>
      <c r="H24" s="7">
        <v>7.3420068261636218E-3</v>
      </c>
    </row>
    <row r="25" spans="1:8" ht="45" x14ac:dyDescent="0.25">
      <c r="A25" s="2" t="s">
        <v>25</v>
      </c>
      <c r="B25" s="3">
        <v>2</v>
      </c>
      <c r="C25" s="4">
        <f>578918817.99/(1000000)</f>
        <v>578.91881798999987</v>
      </c>
      <c r="D25" s="4">
        <f>5758995.49/(1000000)</f>
        <v>5.7589954899999984</v>
      </c>
      <c r="E25" s="5">
        <v>9.9478464182511297E-3</v>
      </c>
      <c r="F25" s="6">
        <v>0.24117286123027412</v>
      </c>
      <c r="G25" s="6">
        <v>0.57695401993331652</v>
      </c>
      <c r="H25" s="7">
        <v>2.1181970778460131E-3</v>
      </c>
    </row>
    <row r="26" spans="1:8" ht="56.25" x14ac:dyDescent="0.25">
      <c r="A26" s="2" t="s">
        <v>26</v>
      </c>
      <c r="B26" s="3">
        <v>1</v>
      </c>
      <c r="C26" s="4">
        <f>528233897.15/(1000000)</f>
        <v>528.23389714999996</v>
      </c>
      <c r="D26" s="4">
        <f>4776478.58/(1000000)</f>
        <v>4.7764785799999983</v>
      </c>
      <c r="E26" s="5">
        <v>9.0423553008822637E-3</v>
      </c>
      <c r="F26" s="6">
        <v>0.62713178111115286</v>
      </c>
      <c r="G26" s="6">
        <v>6.0080962185063209E-2</v>
      </c>
      <c r="H26" s="7">
        <v>-4.8368711082378904E-3</v>
      </c>
    </row>
    <row r="27" spans="1:8" ht="45" x14ac:dyDescent="0.25">
      <c r="A27" s="2" t="s">
        <v>27</v>
      </c>
      <c r="B27" s="3">
        <v>9</v>
      </c>
      <c r="C27" s="4">
        <f>402584214.06/(1000000)</f>
        <v>402.58421406000014</v>
      </c>
      <c r="D27" s="4">
        <f>4756004.75/(1000000)</f>
        <v>4.7560047499999989</v>
      </c>
      <c r="E27" s="5">
        <v>1.1813689121181428E-2</v>
      </c>
      <c r="F27" s="6">
        <v>7.3080274184108562E-2</v>
      </c>
      <c r="G27" s="6">
        <v>1.1853649421319097E-2</v>
      </c>
      <c r="H27" s="7">
        <v>-7.1483886162834742E-4</v>
      </c>
    </row>
    <row r="28" spans="1:8" ht="56.25" x14ac:dyDescent="0.25">
      <c r="A28" s="2" t="s">
        <v>28</v>
      </c>
      <c r="B28" s="3">
        <v>1</v>
      </c>
      <c r="C28" s="4">
        <f>456066585.79/(1000000)</f>
        <v>456.06658578999986</v>
      </c>
      <c r="D28" s="4">
        <f>9874091.13/(1000000)</f>
        <v>9.8740911299999983</v>
      </c>
      <c r="E28" s="5">
        <v>2.1650547173711641E-2</v>
      </c>
      <c r="F28" s="6">
        <v>0.1741483685287491</v>
      </c>
      <c r="G28" s="6">
        <v>4.32572460536189E-2</v>
      </c>
      <c r="H28" s="7">
        <v>-2.716362078948098E-3</v>
      </c>
    </row>
    <row r="29" spans="1:8" ht="56.25" x14ac:dyDescent="0.25">
      <c r="A29" s="2" t="s">
        <v>29</v>
      </c>
      <c r="B29" s="3">
        <v>2</v>
      </c>
      <c r="C29" s="4">
        <f>451538622.18/(1000000)</f>
        <v>451.53862218</v>
      </c>
      <c r="D29" s="4">
        <f>7071275.51/(1000000)</f>
        <v>7.0712755100000004</v>
      </c>
      <c r="E29" s="5">
        <v>1.5660400157710381E-2</v>
      </c>
      <c r="F29" s="6">
        <v>0.27186988877964036</v>
      </c>
      <c r="G29" s="6">
        <v>0.66570724238628021</v>
      </c>
      <c r="H29" s="7">
        <v>3.7027218214516072E-3</v>
      </c>
    </row>
    <row r="30" spans="1:8" ht="45" x14ac:dyDescent="0.25">
      <c r="A30" s="2" t="s">
        <v>30</v>
      </c>
      <c r="B30" s="3">
        <v>5</v>
      </c>
      <c r="C30" s="4">
        <f>424347276.72/(1000000)</f>
        <v>424.34727672000008</v>
      </c>
      <c r="D30" s="4">
        <f>6157423.23/(1000000)</f>
        <v>6.1574232300000018</v>
      </c>
      <c r="E30" s="5">
        <v>1.4510339921570642E-2</v>
      </c>
      <c r="F30" s="6">
        <v>0.12318170079088549</v>
      </c>
      <c r="G30" s="6">
        <v>2.7631181559630395E-2</v>
      </c>
      <c r="H30" s="7">
        <v>-1.349190778372299E-3</v>
      </c>
    </row>
    <row r="31" spans="1:8" ht="56.25" x14ac:dyDescent="0.25">
      <c r="A31" s="2" t="s">
        <v>31</v>
      </c>
      <c r="B31" s="3">
        <v>1</v>
      </c>
      <c r="C31" s="4">
        <f>338684758.61/(1000000)</f>
        <v>338.68475860999996</v>
      </c>
      <c r="D31" s="4">
        <f>2831178.73/(1000000)</f>
        <v>2.8311787300000004</v>
      </c>
      <c r="E31" s="5">
        <v>8.3593331498573297E-3</v>
      </c>
      <c r="F31" s="6">
        <v>0.11795769663459955</v>
      </c>
      <c r="G31" s="6">
        <v>7.2729475436688118E-2</v>
      </c>
      <c r="H31" s="7">
        <v>-3.5244465396541171E-4</v>
      </c>
    </row>
    <row r="32" spans="1:8" ht="45" x14ac:dyDescent="0.25">
      <c r="A32" s="2" t="s">
        <v>32</v>
      </c>
      <c r="B32" s="3">
        <v>1</v>
      </c>
      <c r="C32" s="4">
        <f>398425913.65/(1000000)</f>
        <v>398.4259136500001</v>
      </c>
      <c r="D32" s="4">
        <f>2953656.81/(1000000)</f>
        <v>2.9536568099999996</v>
      </c>
      <c r="E32" s="5">
        <v>7.413315019952892E-3</v>
      </c>
      <c r="F32" s="6">
        <v>4.3720756141838436E-2</v>
      </c>
      <c r="G32" s="6">
        <v>-0.23528665953876557</v>
      </c>
      <c r="H32" s="7">
        <v>-2.7047649830402205E-3</v>
      </c>
    </row>
    <row r="33" spans="1:8" ht="33.75" x14ac:dyDescent="0.25">
      <c r="A33" s="2" t="s">
        <v>33</v>
      </c>
      <c r="B33" s="3">
        <v>8</v>
      </c>
      <c r="C33" s="4">
        <f>409321646.2/(1000000)</f>
        <v>409.32164620000003</v>
      </c>
      <c r="D33" s="4">
        <f>4128986.97/(1000000)</f>
        <v>4.1289869699999997</v>
      </c>
      <c r="E33" s="5">
        <v>1.0087389729646795E-2</v>
      </c>
      <c r="F33" s="6">
        <v>7.5969251738811319E-2</v>
      </c>
      <c r="G33" s="6">
        <v>0.13552354267434538</v>
      </c>
      <c r="H33" s="7">
        <v>5.2904877808578575E-4</v>
      </c>
    </row>
    <row r="34" spans="1:8" ht="56.25" x14ac:dyDescent="0.25">
      <c r="A34" s="2" t="s">
        <v>34</v>
      </c>
      <c r="B34" s="3">
        <v>1</v>
      </c>
      <c r="C34" s="4">
        <f>273456002.93/(1000000)</f>
        <v>273.45600292999995</v>
      </c>
      <c r="D34" s="4">
        <f>3907942.08/(1000000)</f>
        <v>3.9079420799999993</v>
      </c>
      <c r="E34" s="5">
        <v>1.4290935427006754E-2</v>
      </c>
      <c r="F34" s="6">
        <v>7.9905871181850489E-3</v>
      </c>
      <c r="G34" s="6">
        <v>-0.54262776718251982</v>
      </c>
      <c r="H34" s="7">
        <v>-1.7204479812346324E-2</v>
      </c>
    </row>
    <row r="35" spans="1:8" ht="22.5" x14ac:dyDescent="0.25">
      <c r="A35" s="2" t="s">
        <v>35</v>
      </c>
      <c r="B35" s="3">
        <v>1</v>
      </c>
      <c r="C35" s="4">
        <f>296710992.8/(1000000)</f>
        <v>296.71099279999993</v>
      </c>
      <c r="D35" s="4">
        <f>6883903.75/(1000000)</f>
        <v>6.8839037499999991</v>
      </c>
      <c r="E35" s="5">
        <v>2.320070343548121E-2</v>
      </c>
      <c r="F35" s="6">
        <v>0.21942067147199357</v>
      </c>
      <c r="G35" s="6">
        <v>0.45571331363112122</v>
      </c>
      <c r="H35" s="7">
        <v>3.7659582167628575E-3</v>
      </c>
    </row>
    <row r="36" spans="1:8" ht="33.75" x14ac:dyDescent="0.25">
      <c r="A36" s="2" t="s">
        <v>36</v>
      </c>
      <c r="B36" s="3">
        <v>4</v>
      </c>
      <c r="C36" s="4">
        <f>227793613.06/(1000000)</f>
        <v>227.79361306000004</v>
      </c>
      <c r="D36" s="4">
        <f>3281958.12/(1000000)</f>
        <v>3.281958120000001</v>
      </c>
      <c r="E36" s="5">
        <v>1.4407594997562749E-2</v>
      </c>
      <c r="F36" s="6">
        <v>-3.4621409452962416E-2</v>
      </c>
      <c r="G36" s="6">
        <v>-9.2695000163714569E-2</v>
      </c>
      <c r="H36" s="7">
        <v>-9.2218248016457012E-4</v>
      </c>
    </row>
    <row r="37" spans="1:8" ht="56.25" x14ac:dyDescent="0.25">
      <c r="A37" s="2" t="s">
        <v>37</v>
      </c>
      <c r="B37" s="3">
        <v>1</v>
      </c>
      <c r="C37" s="4">
        <f>237540882.93/(1000000)</f>
        <v>237.54088293000007</v>
      </c>
      <c r="D37" s="4">
        <f>3687329.01/(1000000)</f>
        <v>3.6873290100000009</v>
      </c>
      <c r="E37" s="5">
        <v>1.5522923736402058E-2</v>
      </c>
      <c r="F37" s="6">
        <v>7.50145287465354E-2</v>
      </c>
      <c r="G37" s="6">
        <v>2.3694679340943905E-2</v>
      </c>
      <c r="H37" s="7">
        <v>-7.7819502686046066E-4</v>
      </c>
    </row>
    <row r="38" spans="1:8" ht="22.5" x14ac:dyDescent="0.25">
      <c r="A38" s="2" t="s">
        <v>38</v>
      </c>
      <c r="B38" s="3">
        <v>1</v>
      </c>
      <c r="C38" s="4">
        <f>222761686.17/(1000000)</f>
        <v>222.76168617000002</v>
      </c>
      <c r="D38" s="4">
        <f>4480550.98/(1000000)</f>
        <v>4.4805509799999994</v>
      </c>
      <c r="E38" s="5">
        <v>2.0113651755089869E-2</v>
      </c>
      <c r="F38" s="6">
        <v>6.2348173918196463E-2</v>
      </c>
      <c r="G38" s="6">
        <v>0.45185866740365349</v>
      </c>
      <c r="H38" s="7">
        <v>5.3961715398441745E-3</v>
      </c>
    </row>
    <row r="39" spans="1:8" ht="45" x14ac:dyDescent="0.25">
      <c r="A39" s="2" t="s">
        <v>39</v>
      </c>
      <c r="B39" s="3">
        <v>6</v>
      </c>
      <c r="C39" s="4">
        <f>211042160/(1000000)</f>
        <v>211.04216</v>
      </c>
      <c r="D39" s="4">
        <f>5345985.44/(1000000)</f>
        <v>5.3459854400000006</v>
      </c>
      <c r="E39" s="5">
        <v>2.5331362415926754E-2</v>
      </c>
      <c r="F39" s="6">
        <v>7.5371203015082183E-2</v>
      </c>
      <c r="G39" s="6">
        <v>1.7962928309307073E-2</v>
      </c>
      <c r="H39" s="7">
        <v>-1.4285685380118311E-3</v>
      </c>
    </row>
    <row r="40" spans="1:8" ht="33.75" x14ac:dyDescent="0.25">
      <c r="A40" s="2" t="s">
        <v>40</v>
      </c>
      <c r="B40" s="3">
        <v>2</v>
      </c>
      <c r="C40" s="4">
        <f>311472049.56/(1000000)</f>
        <v>311.47204956000002</v>
      </c>
      <c r="D40" s="4">
        <f>2000295.63/(1000000)</f>
        <v>2.0002956300000001</v>
      </c>
      <c r="E40" s="5">
        <v>6.4220710424120284E-3</v>
      </c>
      <c r="F40" s="6">
        <v>0.15949619542739032</v>
      </c>
      <c r="G40" s="6">
        <v>0.14391278972379667</v>
      </c>
      <c r="H40" s="7">
        <v>-8.7487210048041268E-5</v>
      </c>
    </row>
    <row r="41" spans="1:8" ht="67.5" x14ac:dyDescent="0.25">
      <c r="A41" s="2" t="s">
        <v>41</v>
      </c>
      <c r="B41" s="3">
        <v>1</v>
      </c>
      <c r="C41" s="4">
        <f>199056982.81/(1000000)</f>
        <v>199.05698280999999</v>
      </c>
      <c r="D41" s="4">
        <f>3576410.96/(1000000)</f>
        <v>3.5764109599999991</v>
      </c>
      <c r="E41" s="5">
        <v>1.7966769663205862E-2</v>
      </c>
      <c r="F41" s="6">
        <v>0.11527534538731599</v>
      </c>
      <c r="G41" s="6">
        <v>0.25857597920440722</v>
      </c>
      <c r="H41" s="7">
        <v>2.0456845855350084E-3</v>
      </c>
    </row>
    <row r="42" spans="1:8" ht="45" x14ac:dyDescent="0.25">
      <c r="A42" s="2" t="s">
        <v>42</v>
      </c>
      <c r="B42" s="3">
        <v>2</v>
      </c>
      <c r="C42" s="4">
        <f>99042191.63/(1000000)</f>
        <v>99.042191629999948</v>
      </c>
      <c r="D42" s="4">
        <f>2775023.13/(1000000)</f>
        <v>2.7750231299999992</v>
      </c>
      <c r="E42" s="5">
        <v>2.8018595755300742E-2</v>
      </c>
      <c r="F42" s="6">
        <v>-8.7297692366551716E-2</v>
      </c>
      <c r="G42" s="6">
        <v>6.7625169091661677E-2</v>
      </c>
      <c r="H42" s="7">
        <v>4.065772477193693E-3</v>
      </c>
    </row>
    <row r="43" spans="1:8" ht="56.25" x14ac:dyDescent="0.25">
      <c r="A43" s="2" t="s">
        <v>43</v>
      </c>
      <c r="B43" s="3">
        <v>1</v>
      </c>
      <c r="C43" s="4">
        <f>223635907.33/(1000000)</f>
        <v>223.63590732999998</v>
      </c>
      <c r="D43" s="4">
        <f>2372533.57/(1000000)</f>
        <v>2.3725335700000003</v>
      </c>
      <c r="E43" s="5">
        <v>1.0608911593517314E-2</v>
      </c>
      <c r="F43" s="6">
        <v>0.10211500561109417</v>
      </c>
      <c r="G43" s="6">
        <v>0.37943514392395317</v>
      </c>
      <c r="H43" s="7">
        <v>2.1328040273746341E-3</v>
      </c>
    </row>
    <row r="44" spans="1:8" ht="45" x14ac:dyDescent="0.25">
      <c r="A44" s="2" t="s">
        <v>44</v>
      </c>
      <c r="B44" s="3">
        <v>2</v>
      </c>
      <c r="C44" s="4">
        <f>233023509.51/(1000000)</f>
        <v>233.02350951000003</v>
      </c>
      <c r="D44" s="4">
        <f>1943008.55/(1000000)</f>
        <v>1.9430085499999998</v>
      </c>
      <c r="E44" s="5">
        <v>8.3382511665271147E-3</v>
      </c>
      <c r="F44" s="6">
        <v>7.0524360703424424E-2</v>
      </c>
      <c r="G44" s="6">
        <v>3.5870386261998857E-2</v>
      </c>
      <c r="H44" s="7">
        <v>-2.7894758518362886E-4</v>
      </c>
    </row>
    <row r="45" spans="1:8" ht="67.5" x14ac:dyDescent="0.25">
      <c r="A45" s="2" t="s">
        <v>45</v>
      </c>
      <c r="B45" s="8">
        <v>1</v>
      </c>
      <c r="C45" s="4">
        <f>255939369.81/(1000000)</f>
        <v>255.93936981000007</v>
      </c>
      <c r="D45" s="4">
        <f>4050080.04/(1000000)</f>
        <v>4.0500800399999992</v>
      </c>
      <c r="E45" s="5">
        <v>1.5824372948197184E-2</v>
      </c>
      <c r="F45" s="6">
        <v>5.5287208846368702E-2</v>
      </c>
      <c r="G45" s="6">
        <v>9.148887834294897E-2</v>
      </c>
      <c r="H45" s="7">
        <v>5.2485071614377481E-4</v>
      </c>
    </row>
    <row r="46" spans="1:8" ht="56.25" x14ac:dyDescent="0.25">
      <c r="A46" s="2" t="s">
        <v>46</v>
      </c>
      <c r="B46" s="3">
        <v>1</v>
      </c>
      <c r="C46" s="4">
        <f>0/(1000000)</f>
        <v>0</v>
      </c>
      <c r="D46" s="4">
        <f>0/(1000000)</f>
        <v>0</v>
      </c>
      <c r="E46" s="5" t="e">
        <v>#DIV/0!</v>
      </c>
      <c r="F46" s="6">
        <v>-1</v>
      </c>
      <c r="G46" s="6" t="e">
        <v>#DIV/0!</v>
      </c>
      <c r="H46" s="7" t="e">
        <v>#DIV/0!</v>
      </c>
    </row>
    <row r="47" spans="1:8" ht="33.75" x14ac:dyDescent="0.25">
      <c r="A47" s="2" t="s">
        <v>47</v>
      </c>
      <c r="B47" s="3">
        <v>1</v>
      </c>
      <c r="C47" s="4">
        <f>254680180.33/(1000000)</f>
        <v>254.68018033000001</v>
      </c>
      <c r="D47" s="4">
        <f>1765462.18/(1000000)</f>
        <v>1.7654621799999997</v>
      </c>
      <c r="E47" s="5">
        <v>6.9320752706881813E-3</v>
      </c>
      <c r="F47" s="6">
        <v>0.10617367159687544</v>
      </c>
      <c r="G47" s="6">
        <v>-4.3269208363121509E-2</v>
      </c>
      <c r="H47" s="7">
        <v>-1.0828012452475822E-3</v>
      </c>
    </row>
    <row r="48" spans="1:8" ht="67.5" x14ac:dyDescent="0.25">
      <c r="A48" s="2" t="s">
        <v>48</v>
      </c>
      <c r="B48" s="3">
        <v>1</v>
      </c>
      <c r="C48" s="4">
        <f>208954100.89/(1000000)</f>
        <v>208.95410089000001</v>
      </c>
      <c r="D48" s="4">
        <f>4007739.58/(1000000)</f>
        <v>4.0077395800000009</v>
      </c>
      <c r="E48" s="5">
        <v>1.9179999640733542E-2</v>
      </c>
      <c r="F48" s="6">
        <v>8.5802555656368337E-2</v>
      </c>
      <c r="G48" s="6">
        <v>0.65452823872252353</v>
      </c>
      <c r="H48" s="7">
        <v>6.5929115874789092E-3</v>
      </c>
    </row>
    <row r="49" spans="1:8" ht="45" x14ac:dyDescent="0.25">
      <c r="A49" s="2" t="s">
        <v>49</v>
      </c>
      <c r="B49" s="3">
        <v>1</v>
      </c>
      <c r="C49" s="4">
        <f>249253073.34/(1000000)</f>
        <v>249.25307334000004</v>
      </c>
      <c r="D49" s="4">
        <f>3721220.65/(1000000)</f>
        <v>3.7212206499999994</v>
      </c>
      <c r="E49" s="5">
        <v>1.4929487529022253E-2</v>
      </c>
      <c r="F49" s="6">
        <v>0.2259355865776275</v>
      </c>
      <c r="G49" s="6">
        <v>0.3484375070717653</v>
      </c>
      <c r="H49" s="7">
        <v>1.3563037847190134E-3</v>
      </c>
    </row>
    <row r="50" spans="1:8" ht="45" x14ac:dyDescent="0.25">
      <c r="A50" s="2" t="s">
        <v>50</v>
      </c>
      <c r="B50" s="3">
        <v>2</v>
      </c>
      <c r="C50" s="4">
        <f>124846349.38/(1000000)</f>
        <v>124.84634937999999</v>
      </c>
      <c r="D50" s="4">
        <f>2105717.32/(1000000)</f>
        <v>2.1057173200000001</v>
      </c>
      <c r="E50" s="5">
        <v>1.68664709096999E-2</v>
      </c>
      <c r="F50" s="6">
        <v>0.11759305142744683</v>
      </c>
      <c r="G50" s="6">
        <v>0.15155213645097551</v>
      </c>
      <c r="H50" s="7">
        <v>4.9738948115246942E-4</v>
      </c>
    </row>
    <row r="51" spans="1:8" ht="67.5" x14ac:dyDescent="0.25">
      <c r="A51" s="2" t="s">
        <v>51</v>
      </c>
      <c r="B51" s="3">
        <v>2</v>
      </c>
      <c r="C51" s="4">
        <f>73165627.16/(1000000)</f>
        <v>73.16562716</v>
      </c>
      <c r="D51" s="4">
        <f>2604192.89/(1000000)</f>
        <v>2.6041928899999998</v>
      </c>
      <c r="E51" s="5">
        <v>3.559311921573638E-2</v>
      </c>
      <c r="F51" s="6">
        <v>-1.2201005136968492E-3</v>
      </c>
      <c r="G51" s="6">
        <v>0.15363582377446591</v>
      </c>
      <c r="H51" s="7">
        <v>4.7777689118721142E-3</v>
      </c>
    </row>
    <row r="52" spans="1:8" ht="67.5" x14ac:dyDescent="0.25">
      <c r="A52" s="2" t="s">
        <v>52</v>
      </c>
      <c r="B52" s="3">
        <v>9</v>
      </c>
      <c r="C52" s="4">
        <f>153828999.64/(1000000)</f>
        <v>153.82899964000001</v>
      </c>
      <c r="D52" s="4">
        <f>2185669.08/(1000000)</f>
        <v>2.1856690800000003</v>
      </c>
      <c r="E52" s="5">
        <v>1.4208433293559966E-2</v>
      </c>
      <c r="F52" s="6">
        <v>0</v>
      </c>
      <c r="G52" s="6">
        <v>-0.1193233812929117</v>
      </c>
      <c r="H52" s="7">
        <v>1.4208433293559966E-2</v>
      </c>
    </row>
    <row r="53" spans="1:8" ht="45" x14ac:dyDescent="0.25">
      <c r="A53" s="2" t="s">
        <v>53</v>
      </c>
      <c r="B53" s="3">
        <v>1</v>
      </c>
      <c r="C53" s="4">
        <f>156084566.09/(1000000)</f>
        <v>156.08456609000001</v>
      </c>
      <c r="D53" s="4">
        <f>1791719.66/(1000000)</f>
        <v>1.7917196600000007</v>
      </c>
      <c r="E53" s="5">
        <v>1.147915969453941E-2</v>
      </c>
      <c r="F53" s="6">
        <v>-0.11169851091470678</v>
      </c>
      <c r="G53" s="6">
        <v>-2.4614051876277149E-2</v>
      </c>
      <c r="H53" s="7">
        <v>1.0248829339172608E-3</v>
      </c>
    </row>
    <row r="54" spans="1:8" ht="33.75" x14ac:dyDescent="0.25">
      <c r="A54" s="2" t="s">
        <v>54</v>
      </c>
      <c r="B54" s="3">
        <v>2</v>
      </c>
      <c r="C54" s="4">
        <f>144688149.79/(1000000)</f>
        <v>144.68814979000001</v>
      </c>
      <c r="D54" s="4">
        <f>1353315.35/(1000000)</f>
        <v>1.3533153499999999</v>
      </c>
      <c r="E54" s="5">
        <v>9.3533254241221411E-3</v>
      </c>
      <c r="F54" s="6">
        <v>5.5529545304699411E-2</v>
      </c>
      <c r="G54" s="6">
        <v>0.15727493226837319</v>
      </c>
      <c r="H54" s="7">
        <v>8.2232638774014724E-4</v>
      </c>
    </row>
    <row r="55" spans="1:8" ht="33.75" x14ac:dyDescent="0.25">
      <c r="A55" s="2" t="s">
        <v>55</v>
      </c>
      <c r="B55" s="3">
        <v>2</v>
      </c>
      <c r="C55" s="4">
        <f>98689477.51/(1000000)</f>
        <v>98.689477510000032</v>
      </c>
      <c r="D55" s="4">
        <f>2082005.62/(1000000)</f>
        <v>2.0820056199999999</v>
      </c>
      <c r="E55" s="5">
        <v>2.1096530983143909E-2</v>
      </c>
      <c r="F55" s="6">
        <v>7.630552745765716E-2</v>
      </c>
      <c r="G55" s="6">
        <v>0.12923468099661961</v>
      </c>
      <c r="H55" s="7">
        <v>9.8883035239478653E-4</v>
      </c>
    </row>
    <row r="56" spans="1:8" ht="33.75" x14ac:dyDescent="0.25">
      <c r="A56" s="2" t="s">
        <v>56</v>
      </c>
      <c r="B56" s="3">
        <v>1</v>
      </c>
      <c r="C56" s="4">
        <f>132729863.36/(1000000)</f>
        <v>132.72986336</v>
      </c>
      <c r="D56" s="4">
        <f>1168974.48/(1000000)</f>
        <v>1.1689744799999999</v>
      </c>
      <c r="E56" s="5">
        <v>8.8071700701553412E-3</v>
      </c>
      <c r="F56" s="6">
        <v>0.16222201186154364</v>
      </c>
      <c r="G56" s="6">
        <v>0.29393615736803252</v>
      </c>
      <c r="H56" s="7">
        <v>8.9651168144216919E-4</v>
      </c>
    </row>
    <row r="57" spans="1:8" ht="22.5" x14ac:dyDescent="0.25">
      <c r="A57" s="2" t="s">
        <v>57</v>
      </c>
      <c r="B57" s="3">
        <v>1</v>
      </c>
      <c r="C57" s="4">
        <f>68594602.37/(1000000)</f>
        <v>68.594602369999976</v>
      </c>
      <c r="D57" s="4">
        <f>1115107.8/(1000000)</f>
        <v>1.1151078000000001</v>
      </c>
      <c r="E57" s="5">
        <v>1.6256494847584325E-2</v>
      </c>
      <c r="F57" s="6">
        <v>0.1717966588075639</v>
      </c>
      <c r="G57" s="6">
        <v>0.43085100021828959</v>
      </c>
      <c r="H57" s="7">
        <v>2.9432243928580546E-3</v>
      </c>
    </row>
    <row r="58" spans="1:8" ht="67.5" x14ac:dyDescent="0.25">
      <c r="A58" s="2" t="s">
        <v>58</v>
      </c>
      <c r="B58" s="3">
        <v>1</v>
      </c>
      <c r="C58" s="4">
        <f>39719407.08/(1000000)</f>
        <v>39.719407079999996</v>
      </c>
      <c r="D58" s="4">
        <f>1718341.77/(1000000)</f>
        <v>1.7183417700000003</v>
      </c>
      <c r="E58" s="5">
        <v>4.3262019660541225E-2</v>
      </c>
      <c r="F58" s="6">
        <v>7.9227554301294786E-2</v>
      </c>
      <c r="G58" s="6">
        <v>8.725384388009122E-2</v>
      </c>
      <c r="H58" s="7">
        <v>3.1936745913899167E-4</v>
      </c>
    </row>
    <row r="59" spans="1:8" ht="22.5" x14ac:dyDescent="0.25">
      <c r="A59" s="2" t="s">
        <v>59</v>
      </c>
      <c r="B59" s="3">
        <v>1</v>
      </c>
      <c r="C59" s="4">
        <f>70896351/(1000000)</f>
        <v>70.896350999999981</v>
      </c>
      <c r="D59" s="4">
        <f>993900.15/(1000000)</f>
        <v>0.9939001500000002</v>
      </c>
      <c r="E59" s="5">
        <v>1.4019059316607147E-2</v>
      </c>
      <c r="F59" s="6">
        <v>8.7745754521729613E-2</v>
      </c>
      <c r="G59" s="6">
        <v>1.5630831011726593E-2</v>
      </c>
      <c r="H59" s="7">
        <v>-9.954240846471972E-4</v>
      </c>
    </row>
    <row r="60" spans="1:8" ht="45" x14ac:dyDescent="0.25">
      <c r="A60" s="2" t="s">
        <v>60</v>
      </c>
      <c r="B60" s="8">
        <v>3</v>
      </c>
      <c r="C60" s="4">
        <f>46777600.53/(1000000)</f>
        <v>46.777600530000008</v>
      </c>
      <c r="D60" s="4">
        <f>692461.1/(1000000)</f>
        <v>0.69246109999999994</v>
      </c>
      <c r="E60" s="5">
        <v>1.4803262505008182E-2</v>
      </c>
      <c r="F60" s="6">
        <v>-8.7345951061180427E-2</v>
      </c>
      <c r="G60" s="6">
        <v>-0.26916289965380652</v>
      </c>
      <c r="H60" s="7">
        <v>-3.6827413613803699E-3</v>
      </c>
    </row>
    <row r="61" spans="1:8" ht="45" x14ac:dyDescent="0.25">
      <c r="A61" s="2" t="s">
        <v>61</v>
      </c>
      <c r="B61" s="3">
        <v>1</v>
      </c>
      <c r="C61" s="4">
        <f>24220394.39/(1000000)</f>
        <v>24.220394389999999</v>
      </c>
      <c r="D61" s="4">
        <f>330085.73/(1000000)</f>
        <v>0.33008573000000008</v>
      </c>
      <c r="E61" s="5">
        <v>1.3628420936707963E-2</v>
      </c>
      <c r="F61" s="6">
        <v>-8.3402638243050137E-2</v>
      </c>
      <c r="G61" s="6">
        <v>-3.5992896937665615E-2</v>
      </c>
      <c r="H61" s="7">
        <v>6.7024393176948541E-4</v>
      </c>
    </row>
    <row r="62" spans="1:8" x14ac:dyDescent="0.25">
      <c r="A62" s="15" t="s">
        <v>65</v>
      </c>
      <c r="B62" s="16">
        <f>SUM(B3:B61)</f>
        <v>174</v>
      </c>
      <c r="C62" s="16">
        <f>SUM(C3:C61)</f>
        <v>28407.559835310021</v>
      </c>
      <c r="D62" s="16">
        <f>SUM(D3:D61)</f>
        <v>609.52030110999999</v>
      </c>
      <c r="E62" s="17">
        <f>D62/C62</f>
        <v>2.1456270958985311E-2</v>
      </c>
    </row>
  </sheetData>
  <mergeCells count="6">
    <mergeCell ref="D1:D2"/>
    <mergeCell ref="C1:C2"/>
    <mergeCell ref="B1:B2"/>
    <mergeCell ref="A1:A2"/>
    <mergeCell ref="F1:H1"/>
    <mergeCell ref="E1:E2"/>
  </mergeCells>
  <conditionalFormatting sqref="H3:H61">
    <cfRule type="cellIs" dxfId="0" priority="1" stopIfTrue="1" operator="lessThan">
      <formula>0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Pablo</dc:creator>
  <cp:lastModifiedBy>Pablo</cp:lastModifiedBy>
  <dcterms:created xsi:type="dcterms:W3CDTF">2016-04-06T17:00:56Z</dcterms:created>
  <dcterms:modified xsi:type="dcterms:W3CDTF">2016-04-06T17:16:59Z</dcterms:modified>
</cp:coreProperties>
</file>